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<sst xmlns="http://schemas.openxmlformats.org/spreadsheetml/2006/main" count="1017" uniqueCount="237">
  <si>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</si>
  <si>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</si>
  <si>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</si>
  <si>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</si>
  <si>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</si>
  <si>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</si>
  <si>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</si>
  <si>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</si>
  <si>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</si>
  <si>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</si>
  <si>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</si>
  <si>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</si>
  <si>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</si>
  <si>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</si>
  <si>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</si>
  <si>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</si>
  <si>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</si>
  <si>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</si>
  <si>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</si>
  <si>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</si>
  <si>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</si>
  <si>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</si>
  <si>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</si>
  <si>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</si>
  <si>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</si>
  <si>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</si>
  <si>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</si>
  <si>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</si>
  <si>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</si>
  <si>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</si>
  <si>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</si>
  <si>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</si>
  <si>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</si>
  <si>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</si>
  <si>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</si>
  <si>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</si>
  <si>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</si>
  <si>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</si>
  <si>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</si>
  <si>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</si>
  <si>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</si>
  <si>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</si>
  <si>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</si>
  <si>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</si>
  <si>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</si>
  <si>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</si>
  <si>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</si>
  <si>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</si>
  <si>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</si>
  <si>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</si>
  <si>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</si>
  <si>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</si>
  <si>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</si>
  <si>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</si>
  <si>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</si>
  <si>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</si>
  <si>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</si>
  <si>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</si>
  <si>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</si>
  <si>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</si>
  <si>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</si>
  <si>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</si>
  <si>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</si>
  <si>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</si>
  <si>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</si>
  <si>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</si>
  <si>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</si>
  <si>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</si>
  <si>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</si>
  <si>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</si>
  <si>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</si>
  <si>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</si>
  <si>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</si>
  <si>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</si>
  <si>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</si>
  <si>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</si>
  <si>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</si>
  <si>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</si>
  <si>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</si>
  <si>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</si>
  <si>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</si>
  <si>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</si>
  <si>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</si>
  <si>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</si>
  <si>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</si>
  <si>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</si>
  <si>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</si>
  <si>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</si>
  <si>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</si>
  <si>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</si>
  <si>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</si>
  <si>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</si>
  <si>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</si>
  <si>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</si>
  <si>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</si>
  <si>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</si>
  <si>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</si>
  <si>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</si>
  <si>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</si>
  <si>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</si>
  <si>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</si>
  <si>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</si>
  <si>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</si>
  <si>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</si>
  <si>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</si>
  <si>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</si>
  <si>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</si>
  <si>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</si>
  <si>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</si>
  <si>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</si>
  <si>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</si>
  <si>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</si>
  <si>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</si>
  <si>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</si>
  <si>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</si>
  <si>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</si>
  <si>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</si>
  <si>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</si>
  <si>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</si>
  <si>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</si>
  <si>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</si>
  <si>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</si>
  <si>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</si>
  <si>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</si>
  <si>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</si>
  <si>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</si>
  <si>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</si>
  <si>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</si>
  <si>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</si>
  <si>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</si>
  <si>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</si>
  <si>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</si>
  <si>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</si>
  <si>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</si>
  <si>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</si>
  <si>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</si>
  <si>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</si>
  <si>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</si>
  <si>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</si>
  <si>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</si>
  <si>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</si>
  <si>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</si>
  <si>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</si>
  <si>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</si>
  <si>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</si>
  <si>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</si>
  <si>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</si>
  <si>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</si>
  <si>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</si>
  <si>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</si>
  <si>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</si>
  <si>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</si>
  <si>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</si>
  <si>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</si>
  <si>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</si>
  <si>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</si>
  <si>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</si>
  <si>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</si>
  <si>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</si>
  <si>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</si>
  <si>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</si>
  <si>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</si>
  <si>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</si>
  <si>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</si>
  <si>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</si>
  <si>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</si>
  <si>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</si>
  <si>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</si>
  <si>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</si>
  <si>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</si>
  <si>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</si>
  <si>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</si>
  <si>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</si>
  <si>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</si>
  <si>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</si>
  <si>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</si>
  <si>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</si>
  <si>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</si>
  <si>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</si>
  <si>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</si>
  <si>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</si>
  <si>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</si>
  <si>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</si>
  <si>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</si>
  <si>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</si>
  <si>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</si>
  <si>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</si>
  <si>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</si>
  <si>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</si>
  <si>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</si>
  <si>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</si>
  <si>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</si>
  <si>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</si>
  <si>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</si>
  <si>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</si>
  <si>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</si>
  <si>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</si>
  <si>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</si>
  <si>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</si>
  <si>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</si>
  <si>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</si>
  <si>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</si>
  <si>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</si>
  <si>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</si>
  <si>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</si>
  <si>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</si>
  <si>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</si>
  <si>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</si>
  <si>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</si>
  <si>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</si>
  <si>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</si>
  <si>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</si>
  <si>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</si>
  <si>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</si>
  <si>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</si>
  <si>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</si>
  <si>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</si>
  <si>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</si>
  <si>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</si>
  <si>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</si>
  <si>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</si>
  <si>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</si>
  <si>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</si>
  <si>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</si>
  <si>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</si>
  <si>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</si>
  <si>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</si>
  <si>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</si>
  <si>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</si>
  <si>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</si>
  <si>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</si>
  <si>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</si>
  <si>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</si>
  <si>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</si>
  <si>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</si>
  <si>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</si>
  <si>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15.05.14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</si>
</sst>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183" fontId="8" fillId="0" borderId="1" xfId="0" applyNumberFormat="1" applyFont="1" applyFill="1" applyBorder="1" applyAlignment="1" applyProtection="1">
      <alignment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122247316.13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108422094.16999999</v>
          </cell>
        </row>
      </sheetData>
      <sheetData sheetId="13">
        <row r="52">
          <cell r="B52">
            <v>16316288.349999998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8" sqref="E14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233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229</v>
      </c>
      <c r="H4" s="185" t="s">
        <v>230</v>
      </c>
      <c r="I4" s="181" t="s">
        <v>188</v>
      </c>
      <c r="J4" s="187" t="s">
        <v>189</v>
      </c>
      <c r="K4" s="176" t="s">
        <v>231</v>
      </c>
      <c r="L4" s="177"/>
      <c r="M4" s="200"/>
      <c r="N4" s="163" t="s">
        <v>236</v>
      </c>
      <c r="O4" s="181" t="s">
        <v>136</v>
      </c>
      <c r="P4" s="181" t="s">
        <v>135</v>
      </c>
      <c r="Q4" s="176" t="s">
        <v>234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228</v>
      </c>
      <c r="F5" s="203"/>
      <c r="G5" s="184"/>
      <c r="H5" s="186"/>
      <c r="I5" s="182"/>
      <c r="J5" s="188"/>
      <c r="K5" s="178"/>
      <c r="L5" s="179"/>
      <c r="M5" s="151" t="s">
        <v>232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159821.23</v>
      </c>
      <c r="G8" s="22">
        <f aca="true" t="shared" si="0" ref="G8:G30">F8-E8</f>
        <v>-31849.829999999987</v>
      </c>
      <c r="H8" s="51">
        <f>F8/E8*100</f>
        <v>83.38307828004918</v>
      </c>
      <c r="I8" s="36">
        <f aca="true" t="shared" si="1" ref="I8:I17">F8-D8</f>
        <v>-328655.06999999995</v>
      </c>
      <c r="J8" s="36">
        <f aca="true" t="shared" si="2" ref="J8:J14">F8/D8*100</f>
        <v>32.718318166101405</v>
      </c>
      <c r="K8" s="36">
        <f>F8-187134.8</f>
        <v>-27313.569999999978</v>
      </c>
      <c r="L8" s="136">
        <f>F8/187134.8</f>
        <v>0.8540433420186947</v>
      </c>
      <c r="M8" s="22">
        <f>M10+M19+M33+M56+M68+M30</f>
        <v>37449.96999999999</v>
      </c>
      <c r="N8" s="22">
        <f>N10+N19+N33+N56+N68+N30</f>
        <v>14059.470000000008</v>
      </c>
      <c r="O8" s="36">
        <f aca="true" t="shared" si="3" ref="O8:O71">N8-M8</f>
        <v>-23390.499999999978</v>
      </c>
      <c r="P8" s="36">
        <f>F8/M8*100</f>
        <v>426.7593004747402</v>
      </c>
      <c r="Q8" s="36">
        <f>N8-36022.2</f>
        <v>-21962.72999999999</v>
      </c>
      <c r="R8" s="134">
        <f>N8/36022.2</f>
        <v>0.3903001482419178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129950.42</v>
      </c>
      <c r="G9" s="22">
        <f t="shared" si="0"/>
        <v>129950.42</v>
      </c>
      <c r="H9" s="20"/>
      <c r="I9" s="56">
        <f t="shared" si="1"/>
        <v>-257062.78000000003</v>
      </c>
      <c r="J9" s="56">
        <f t="shared" si="2"/>
        <v>33.57777460820458</v>
      </c>
      <c r="K9" s="56"/>
      <c r="L9" s="135"/>
      <c r="M9" s="20">
        <f>M10+M17</f>
        <v>30408.59999999999</v>
      </c>
      <c r="N9" s="20">
        <f>N10+N17</f>
        <v>12830.270000000004</v>
      </c>
      <c r="O9" s="36">
        <f t="shared" si="3"/>
        <v>-17578.329999999987</v>
      </c>
      <c r="P9" s="56">
        <f>F9/M9*100</f>
        <v>427.34759245739707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129950.42</v>
      </c>
      <c r="G10" s="49">
        <f t="shared" si="0"/>
        <v>-26161.37999999999</v>
      </c>
      <c r="H10" s="40">
        <f aca="true" t="shared" si="4" ref="H10:H17">F10/E10*100</f>
        <v>83.24189459092779</v>
      </c>
      <c r="I10" s="56">
        <f t="shared" si="1"/>
        <v>-257062.78000000003</v>
      </c>
      <c r="J10" s="56">
        <f t="shared" si="2"/>
        <v>33.57777460820458</v>
      </c>
      <c r="K10" s="141">
        <f>F10-145839</f>
        <v>-15888.580000000002</v>
      </c>
      <c r="L10" s="142">
        <f>F10/145839</f>
        <v>0.8910539704742901</v>
      </c>
      <c r="M10" s="40">
        <f>E10-квітень!E10</f>
        <v>30408.59999999999</v>
      </c>
      <c r="N10" s="40">
        <f>F10-квітень!F10</f>
        <v>12830.270000000004</v>
      </c>
      <c r="O10" s="53">
        <f t="shared" si="3"/>
        <v>-17578.329999999987</v>
      </c>
      <c r="P10" s="56">
        <f aca="true" t="shared" si="5" ref="P10:P17">N10/M10*100</f>
        <v>42.192899377149914</v>
      </c>
      <c r="Q10" s="141">
        <f>N10-28567.7</f>
        <v>-15737.429999999997</v>
      </c>
      <c r="R10" s="142">
        <f>N10/28567.7</f>
        <v>0.44911805990681797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582.27</v>
      </c>
      <c r="G19" s="49">
        <f t="shared" si="0"/>
        <v>-429.33000000000004</v>
      </c>
      <c r="H19" s="40">
        <f aca="true" t="shared" si="6" ref="H19:H29">F19/E19*100</f>
        <v>57.559311981020166</v>
      </c>
      <c r="I19" s="56">
        <f aca="true" t="shared" si="7" ref="I19:I29">F19-D19</f>
        <v>-417.73</v>
      </c>
      <c r="J19" s="56">
        <f aca="true" t="shared" si="8" ref="J19:J29">F19/D19*100</f>
        <v>58.227</v>
      </c>
      <c r="K19" s="56">
        <f>F19-5155.1</f>
        <v>-4572.83</v>
      </c>
      <c r="L19" s="135">
        <f>F19/5155.1</f>
        <v>0.1129502822447673</v>
      </c>
      <c r="M19" s="40">
        <f>E19-квітень!E19</f>
        <v>12</v>
      </c>
      <c r="N19" s="40">
        <f>F19-квітень!F19</f>
        <v>29.350000000000023</v>
      </c>
      <c r="O19" s="53">
        <f t="shared" si="3"/>
        <v>17.350000000000023</v>
      </c>
      <c r="P19" s="56">
        <f aca="true" t="shared" si="9" ref="P19:P29">N19/M19*100</f>
        <v>244.5833333333335</v>
      </c>
      <c r="Q19" s="56">
        <f>N19-419.2</f>
        <v>-389.84999999999997</v>
      </c>
      <c r="R19" s="135">
        <f>N19/419.2</f>
        <v>0.0700143129770993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26629.72</v>
      </c>
      <c r="G33" s="49">
        <f aca="true" t="shared" si="14" ref="G33:G72">F33-E33</f>
        <v>-5110.739999999998</v>
      </c>
      <c r="H33" s="40">
        <f aca="true" t="shared" si="15" ref="H33:H67">F33/E33*100</f>
        <v>83.89834299817961</v>
      </c>
      <c r="I33" s="56">
        <f>F33-D33</f>
        <v>-66936.28</v>
      </c>
      <c r="J33" s="56">
        <f aca="true" t="shared" si="16" ref="J33:J72">F33/D33*100</f>
        <v>28.460893914456108</v>
      </c>
      <c r="K33" s="141">
        <f>F33-33465.8</f>
        <v>-6836.080000000002</v>
      </c>
      <c r="L33" s="142">
        <f>F33/33465.8</f>
        <v>0.7957293714777474</v>
      </c>
      <c r="M33" s="40">
        <f>E33-квітень!E33</f>
        <v>6469.869999999999</v>
      </c>
      <c r="N33" s="40">
        <f>F33-квітень!F33</f>
        <v>712.3000000000029</v>
      </c>
      <c r="O33" s="53">
        <f t="shared" si="3"/>
        <v>-5757.569999999996</v>
      </c>
      <c r="P33" s="56">
        <f aca="true" t="shared" si="17" ref="P33:P67">N33/M33*100</f>
        <v>11.009494781193487</v>
      </c>
      <c r="Q33" s="141">
        <f>N33-6537.6</f>
        <v>-5825.299999999997</v>
      </c>
      <c r="R33" s="142">
        <f>N33/6537.2</f>
        <v>0.10896102306798063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19969.9</v>
      </c>
      <c r="G55" s="144">
        <f t="shared" si="14"/>
        <v>-3580.2599999999984</v>
      </c>
      <c r="H55" s="146">
        <f t="shared" si="15"/>
        <v>84.79730074020729</v>
      </c>
      <c r="I55" s="145">
        <f t="shared" si="18"/>
        <v>-50296.1</v>
      </c>
      <c r="J55" s="145">
        <f t="shared" si="16"/>
        <v>28.42043093387983</v>
      </c>
      <c r="K55" s="148">
        <f>F55-24232.1</f>
        <v>-4262.199999999997</v>
      </c>
      <c r="L55" s="149">
        <f>F55/24232.1</f>
        <v>0.8241093425662656</v>
      </c>
      <c r="M55" s="40">
        <f>E55-квітень!E55</f>
        <v>4739.869999999999</v>
      </c>
      <c r="N55" s="40">
        <f>F55-квітень!F55</f>
        <v>574.5</v>
      </c>
      <c r="O55" s="148">
        <f t="shared" si="3"/>
        <v>-4165.369999999999</v>
      </c>
      <c r="P55" s="148">
        <f t="shared" si="17"/>
        <v>12.120585585680622</v>
      </c>
      <c r="Q55" s="160">
        <f>N55-4803.25</f>
        <v>-4228.75</v>
      </c>
      <c r="R55" s="161">
        <f>N55/4803.25</f>
        <v>0.11960651642117316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2655.03</v>
      </c>
      <c r="G56" s="49">
        <f t="shared" si="14"/>
        <v>-134.0699999999997</v>
      </c>
      <c r="H56" s="40">
        <f t="shared" si="15"/>
        <v>95.19307303431216</v>
      </c>
      <c r="I56" s="56">
        <f t="shared" si="18"/>
        <v>-4204.969999999999</v>
      </c>
      <c r="J56" s="56">
        <f t="shared" si="16"/>
        <v>38.7030612244898</v>
      </c>
      <c r="K56" s="56">
        <f>F56-2649.7</f>
        <v>5.330000000000382</v>
      </c>
      <c r="L56" s="135">
        <f>F56/2649.7</f>
        <v>1.0020115484771863</v>
      </c>
      <c r="M56" s="40">
        <f>E56-квітень!E56</f>
        <v>551</v>
      </c>
      <c r="N56" s="40">
        <f>F56-квітень!F56</f>
        <v>487.5500000000002</v>
      </c>
      <c r="O56" s="53">
        <f t="shared" si="3"/>
        <v>-63.44999999999982</v>
      </c>
      <c r="P56" s="56">
        <f t="shared" si="17"/>
        <v>88.48457350272236</v>
      </c>
      <c r="Q56" s="56">
        <f>N56-497.8</f>
        <v>-10.24999999999983</v>
      </c>
      <c r="R56" s="135">
        <f>N56/497.8</f>
        <v>0.9794094013660107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5086.259999999999</v>
      </c>
      <c r="G74" s="50">
        <f aca="true" t="shared" si="24" ref="G74:G92">F74-E74</f>
        <v>-841.7400000000007</v>
      </c>
      <c r="H74" s="51">
        <f aca="true" t="shared" si="25" ref="H74:H87">F74/E74*100</f>
        <v>85.80060728744938</v>
      </c>
      <c r="I74" s="36">
        <f aca="true" t="shared" si="26" ref="I74:I92">F74-D74</f>
        <v>-13272.04</v>
      </c>
      <c r="J74" s="36">
        <f aca="true" t="shared" si="27" ref="J74:J92">F74/D74*100</f>
        <v>27.705506501146616</v>
      </c>
      <c r="K74" s="36">
        <f>F74-5538.5</f>
        <v>-452.2400000000007</v>
      </c>
      <c r="L74" s="136">
        <f>F74/7538.5</f>
        <v>0.6747045168136896</v>
      </c>
      <c r="M74" s="22">
        <f>M77+M86+M88+M89+M94+M95+M96+M97+M99+M87+M103</f>
        <v>1480.5</v>
      </c>
      <c r="N74" s="22">
        <f>N77+N86+N88+N89+N94+N95+N96+N97+N99+N32+N103+N87</f>
        <v>899.9399999999998</v>
      </c>
      <c r="O74" s="55">
        <f aca="true" t="shared" si="28" ref="O74:O92">N74-M74</f>
        <v>-580.5600000000002</v>
      </c>
      <c r="P74" s="36">
        <f>N74/M74*100</f>
        <v>60.786220871327245</v>
      </c>
      <c r="Q74" s="36">
        <f>N74-2163.7</f>
        <v>-1263.76</v>
      </c>
      <c r="R74" s="136">
        <f>N74/2163.7</f>
        <v>0.41592642233211624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22.17</v>
      </c>
      <c r="G77" s="49">
        <f t="shared" si="24"/>
        <v>-37.83</v>
      </c>
      <c r="H77" s="40">
        <f t="shared" si="25"/>
        <v>36.95</v>
      </c>
      <c r="I77" s="56">
        <f t="shared" si="26"/>
        <v>-477.83</v>
      </c>
      <c r="J77" s="56">
        <f t="shared" si="27"/>
        <v>4.434</v>
      </c>
      <c r="K77" s="56">
        <f>F77-1633.9</f>
        <v>-1611.73</v>
      </c>
      <c r="L77" s="135">
        <f>F77/1633.9</f>
        <v>0.013568761858130853</v>
      </c>
      <c r="M77" s="40">
        <f>E77-квітень!E77</f>
        <v>50</v>
      </c>
      <c r="N77" s="40">
        <f>F77-квітень!F77</f>
        <v>0.3000000000000007</v>
      </c>
      <c r="O77" s="53">
        <f t="shared" si="28"/>
        <v>-49.7</v>
      </c>
      <c r="P77" s="56">
        <f aca="true" t="shared" si="29" ref="P77:P87">N77/M77*100</f>
        <v>0.6000000000000014</v>
      </c>
      <c r="Q77" s="56">
        <f>N77-291.7</f>
        <v>-291.4</v>
      </c>
      <c r="R77" s="135">
        <f>N77/291.7</f>
        <v>0.00102845389098389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E87-квітень!E87</f>
        <v>0</v>
      </c>
      <c r="N87" s="40">
        <f>F87-квітень!F87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41.78</v>
      </c>
      <c r="G89" s="49">
        <f t="shared" si="24"/>
        <v>-27.22</v>
      </c>
      <c r="H89" s="40">
        <f>F89/E89*100</f>
        <v>60.550724637681164</v>
      </c>
      <c r="I89" s="56">
        <f t="shared" si="26"/>
        <v>-133.22</v>
      </c>
      <c r="J89" s="56">
        <f t="shared" si="27"/>
        <v>23.874285714285715</v>
      </c>
      <c r="K89" s="56">
        <f>F89-73.4</f>
        <v>-31.620000000000005</v>
      </c>
      <c r="L89" s="135">
        <f>F89/73.4</f>
        <v>0.5692098092643052</v>
      </c>
      <c r="M89" s="40">
        <f>E89-квітень!E89</f>
        <v>15</v>
      </c>
      <c r="N89" s="40">
        <f>F89-квітень!F89</f>
        <v>7.340000000000003</v>
      </c>
      <c r="O89" s="53">
        <f t="shared" si="28"/>
        <v>-7.659999999999997</v>
      </c>
      <c r="P89" s="56">
        <f>N89/M89*100</f>
        <v>48.93333333333336</v>
      </c>
      <c r="Q89" s="56">
        <f>N89-7.1</f>
        <v>0.24000000000000377</v>
      </c>
      <c r="R89" s="135">
        <f>N89/7.1</f>
        <v>1.033802816901409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2961.19</v>
      </c>
      <c r="G95" s="49">
        <f t="shared" si="31"/>
        <v>4.690000000000055</v>
      </c>
      <c r="H95" s="40">
        <f>F95/E95*100</f>
        <v>100.15863351936412</v>
      </c>
      <c r="I95" s="56">
        <f t="shared" si="32"/>
        <v>-4038.81</v>
      </c>
      <c r="J95" s="56">
        <f>F95/D95*100</f>
        <v>42.30271428571429</v>
      </c>
      <c r="K95" s="56">
        <f>F95-2948.4</f>
        <v>12.789999999999964</v>
      </c>
      <c r="L95" s="135">
        <f>F95/2948.4</f>
        <v>1.0043379460046127</v>
      </c>
      <c r="M95" s="40">
        <f>E95-квітень!E95</f>
        <v>575</v>
      </c>
      <c r="N95" s="40">
        <f>F95-квітень!F95</f>
        <v>578.6599999999999</v>
      </c>
      <c r="O95" s="53">
        <f t="shared" si="33"/>
        <v>3.6599999999998545</v>
      </c>
      <c r="P95" s="56">
        <f>N95/M95*100</f>
        <v>100.6365217391304</v>
      </c>
      <c r="Q95" s="56">
        <f>N95-679.2</f>
        <v>-100.54000000000019</v>
      </c>
      <c r="R95" s="135">
        <f>N95/679.2</f>
        <v>0.8519729093050645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310</v>
      </c>
      <c r="G96" s="49">
        <f t="shared" si="31"/>
        <v>-64.5</v>
      </c>
      <c r="H96" s="40">
        <f>F96/E96*100</f>
        <v>82.77703604806409</v>
      </c>
      <c r="I96" s="56">
        <f t="shared" si="32"/>
        <v>-890</v>
      </c>
      <c r="J96" s="56">
        <f>F96/D96*100</f>
        <v>25.833333333333336</v>
      </c>
      <c r="K96" s="56">
        <f>F96-374</f>
        <v>-64</v>
      </c>
      <c r="L96" s="135">
        <f>F96/374</f>
        <v>0.8288770053475936</v>
      </c>
      <c r="M96" s="40">
        <f>E96-квітень!E96</f>
        <v>80</v>
      </c>
      <c r="N96" s="40">
        <f>F96-квітень!F96</f>
        <v>30.410000000000025</v>
      </c>
      <c r="O96" s="53">
        <f t="shared" si="33"/>
        <v>-49.589999999999975</v>
      </c>
      <c r="P96" s="56">
        <f>N96/M96*100</f>
        <v>38.01250000000003</v>
      </c>
      <c r="Q96" s="56">
        <f>N96-68.5</f>
        <v>-38.089999999999975</v>
      </c>
      <c r="R96" s="135">
        <f>N96/68.5</f>
        <v>0.44394160583941644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1520.69</v>
      </c>
      <c r="G99" s="49">
        <f t="shared" si="31"/>
        <v>13.690000000000055</v>
      </c>
      <c r="H99" s="40">
        <f>F99/E99*100</f>
        <v>100.90842733908427</v>
      </c>
      <c r="I99" s="56">
        <f t="shared" si="32"/>
        <v>-3052.0099999999998</v>
      </c>
      <c r="J99" s="56">
        <f>F99/D99*100</f>
        <v>33.255844468257266</v>
      </c>
      <c r="K99" s="56">
        <f>F99-1665.9</f>
        <v>-145.21000000000004</v>
      </c>
      <c r="L99" s="135">
        <f>F99/1665.9</f>
        <v>0.912833903595654</v>
      </c>
      <c r="M99" s="40">
        <f>E99-квітень!E99</f>
        <v>330</v>
      </c>
      <c r="N99" s="40">
        <f>F99-квітень!F99</f>
        <v>282.23</v>
      </c>
      <c r="O99" s="53">
        <f t="shared" si="33"/>
        <v>-47.76999999999998</v>
      </c>
      <c r="P99" s="56">
        <f>N99/M99*100</f>
        <v>85.52424242424243</v>
      </c>
      <c r="Q99" s="56">
        <f>N99-671</f>
        <v>-388.77</v>
      </c>
      <c r="R99" s="135">
        <f>N99/671</f>
        <v>0.4206110283159464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274.9</v>
      </c>
      <c r="G102" s="144"/>
      <c r="H102" s="146"/>
      <c r="I102" s="145"/>
      <c r="J102" s="145"/>
      <c r="K102" s="148">
        <f>F102-184.7</f>
        <v>90.19999999999999</v>
      </c>
      <c r="L102" s="149">
        <f>F102/184.7</f>
        <v>1.4883595018949647</v>
      </c>
      <c r="M102" s="40">
        <f>E102-квітень!E102</f>
        <v>0</v>
      </c>
      <c r="N102" s="40">
        <f>F102-квітень!F102</f>
        <v>39.49999999999997</v>
      </c>
      <c r="O102" s="53"/>
      <c r="P102" s="60"/>
      <c r="Q102" s="60">
        <f>N102-45.1</f>
        <v>-5.60000000000003</v>
      </c>
      <c r="R102" s="138">
        <f>N102/45.1</f>
        <v>0.8758314855875825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-54.99</v>
      </c>
      <c r="K103" s="56">
        <f>F103-59.1</f>
        <v>-45.910000000000004</v>
      </c>
      <c r="L103" s="135">
        <f>F103/59.1</f>
        <v>0.22318104906937392</v>
      </c>
      <c r="M103" s="40">
        <f>E103-квітень!E103</f>
        <v>0</v>
      </c>
      <c r="N103" s="40">
        <f>F103-квітень!F103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10.51</v>
      </c>
      <c r="G104" s="49">
        <f>F104-E104</f>
        <v>-1.6899999999999995</v>
      </c>
      <c r="H104" s="40">
        <f>F104/E104*100</f>
        <v>86.14754098360656</v>
      </c>
      <c r="I104" s="56">
        <f t="shared" si="34"/>
        <v>-34.49</v>
      </c>
      <c r="J104" s="56">
        <f aca="true" t="shared" si="36" ref="J104:J109">F104/D104*100</f>
        <v>23.355555555555554</v>
      </c>
      <c r="K104" s="56">
        <f>F104-13.3</f>
        <v>-2.790000000000001</v>
      </c>
      <c r="L104" s="135">
        <f>F104/13.3</f>
        <v>0.7902255639097744</v>
      </c>
      <c r="M104" s="40">
        <f>E104-квітень!E104</f>
        <v>3</v>
      </c>
      <c r="N104" s="40">
        <f>F104-квітень!F104</f>
        <v>1.5</v>
      </c>
      <c r="O104" s="53">
        <f t="shared" si="35"/>
        <v>-1.5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164918.04000000004</v>
      </c>
      <c r="G106" s="50">
        <f>F106-E106</f>
        <v>-32693.219999999972</v>
      </c>
      <c r="H106" s="51">
        <f>F106/E106*100</f>
        <v>83.45579093013224</v>
      </c>
      <c r="I106" s="36">
        <f t="shared" si="34"/>
        <v>-341961.55999999994</v>
      </c>
      <c r="J106" s="36">
        <f t="shared" si="36"/>
        <v>32.5359395012149</v>
      </c>
      <c r="K106" s="36">
        <f>F106-194689.2</f>
        <v>-29771.159999999974</v>
      </c>
      <c r="L106" s="136">
        <f>F106/194689.2</f>
        <v>0.8470836594942094</v>
      </c>
      <c r="M106" s="22">
        <f>M8+M74+M104+M105</f>
        <v>38933.46999999999</v>
      </c>
      <c r="N106" s="22">
        <f>N8+N74+N104+N105</f>
        <v>14960.910000000009</v>
      </c>
      <c r="O106" s="55">
        <f t="shared" si="35"/>
        <v>-23972.559999999976</v>
      </c>
      <c r="P106" s="36">
        <f>N106/M106*100</f>
        <v>38.42685997420732</v>
      </c>
      <c r="Q106" s="36">
        <f>N106-38187.1</f>
        <v>-23226.189999999988</v>
      </c>
      <c r="R106" s="136">
        <f>N106/38187.1</f>
        <v>0.3917791610255822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130260.42</v>
      </c>
      <c r="G107" s="71">
        <f>G10-G18+G96</f>
        <v>-26225.87999999999</v>
      </c>
      <c r="H107" s="72">
        <f>F107/E107*100</f>
        <v>83.24078210041391</v>
      </c>
      <c r="I107" s="52">
        <f t="shared" si="34"/>
        <v>-257952.78000000003</v>
      </c>
      <c r="J107" s="52">
        <f t="shared" si="36"/>
        <v>33.55383588193291</v>
      </c>
      <c r="K107" s="52">
        <f>F107-146288.9</f>
        <v>-16028.479999999996</v>
      </c>
      <c r="L107" s="137">
        <f>F107/146288.9</f>
        <v>0.8904326985847867</v>
      </c>
      <c r="M107" s="71">
        <f>M10-M18+M96</f>
        <v>30488.59999999999</v>
      </c>
      <c r="N107" s="71">
        <f>N10-N18+N96</f>
        <v>12860.680000000004</v>
      </c>
      <c r="O107" s="53">
        <f t="shared" si="35"/>
        <v>-17627.919999999987</v>
      </c>
      <c r="P107" s="52">
        <f>N107/M107*100</f>
        <v>42.18193029525793</v>
      </c>
      <c r="Q107" s="52">
        <f>N107-28646.6</f>
        <v>-15785.919999999995</v>
      </c>
      <c r="R107" s="137">
        <f>N107/28646.6</f>
        <v>0.4489426319353782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34657.62000000004</v>
      </c>
      <c r="G108" s="62">
        <f>F108-E108</f>
        <v>-6467.339999999982</v>
      </c>
      <c r="H108" s="72">
        <f>F108/E108*100</f>
        <v>84.2739299928803</v>
      </c>
      <c r="I108" s="52">
        <f t="shared" si="34"/>
        <v>-84008.77999999993</v>
      </c>
      <c r="J108" s="52">
        <f t="shared" si="36"/>
        <v>29.20592518185438</v>
      </c>
      <c r="K108" s="52">
        <f>F108-48400.3</f>
        <v>-13742.679999999964</v>
      </c>
      <c r="L108" s="137">
        <f>F108/48400.3</f>
        <v>0.7160620905242331</v>
      </c>
      <c r="M108" s="71">
        <f>M106-M107</f>
        <v>8444.869999999995</v>
      </c>
      <c r="N108" s="71">
        <f>N106-N107</f>
        <v>2100.230000000005</v>
      </c>
      <c r="O108" s="53">
        <f t="shared" si="35"/>
        <v>-6344.63999999999</v>
      </c>
      <c r="P108" s="52">
        <f>N108/M108*100</f>
        <v>24.86989142520851</v>
      </c>
      <c r="Q108" s="52">
        <f>N108-9540.4</f>
        <v>-7440.169999999995</v>
      </c>
      <c r="R108" s="137">
        <f>N108/9540.4</f>
        <v>0.22014066496163737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130260.42</v>
      </c>
      <c r="G109" s="111">
        <f>F109-E109</f>
        <v>-20855.979999999996</v>
      </c>
      <c r="H109" s="72">
        <f>F109/E109*100</f>
        <v>86.19873157380668</v>
      </c>
      <c r="I109" s="81">
        <f t="shared" si="34"/>
        <v>-257952.78000000003</v>
      </c>
      <c r="J109" s="52">
        <f t="shared" si="36"/>
        <v>33.55383588193291</v>
      </c>
      <c r="K109" s="52"/>
      <c r="L109" s="137"/>
      <c r="M109" s="72">
        <f>E109-квітень!E109</f>
        <v>30488.59999999999</v>
      </c>
      <c r="N109" s="71">
        <f>N107</f>
        <v>12860.680000000004</v>
      </c>
      <c r="O109" s="118">
        <f t="shared" si="35"/>
        <v>-17627.919999999987</v>
      </c>
      <c r="P109" s="52">
        <f>N109/M109*100</f>
        <v>42.18193029525793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-0.82</v>
      </c>
      <c r="G113" s="49">
        <f aca="true" t="shared" si="37" ref="G113:G125">F113-E113</f>
        <v>-0.82</v>
      </c>
      <c r="H113" s="40"/>
      <c r="I113" s="60">
        <f aca="true" t="shared" si="38" ref="I113:I124">F113-D113</f>
        <v>-0.82</v>
      </c>
      <c r="J113" s="60"/>
      <c r="K113" s="60">
        <f>F113-6.7</f>
        <v>-7.5200000000000005</v>
      </c>
      <c r="L113" s="138">
        <f>F113/6.7</f>
        <v>-0.12238805970149252</v>
      </c>
      <c r="M113" s="40">
        <f>E113-квітень!E113</f>
        <v>0</v>
      </c>
      <c r="N113" s="40">
        <f>F113-квітень!F113</f>
        <v>0.13</v>
      </c>
      <c r="O113" s="53"/>
      <c r="P113" s="60"/>
      <c r="Q113" s="60">
        <f>N113-0</f>
        <v>0.13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398.37</v>
      </c>
      <c r="G114" s="49">
        <f t="shared" si="37"/>
        <v>-971.2299999999999</v>
      </c>
      <c r="H114" s="40">
        <f aca="true" t="shared" si="39" ref="H114:H125">F114/E114*100</f>
        <v>29.086594626168228</v>
      </c>
      <c r="I114" s="60">
        <f t="shared" si="38"/>
        <v>-3273.13</v>
      </c>
      <c r="J114" s="60">
        <f aca="true" t="shared" si="40" ref="J114:J120">F114/D114*100</f>
        <v>10.850333651096282</v>
      </c>
      <c r="K114" s="60">
        <f>F114-1614.9</f>
        <v>-1216.5300000000002</v>
      </c>
      <c r="L114" s="138">
        <f>F114/1614.9</f>
        <v>0.24668400520156045</v>
      </c>
      <c r="M114" s="40">
        <f>E114-квітень!E114</f>
        <v>327.5</v>
      </c>
      <c r="N114" s="40">
        <f>F114-квітень!F114</f>
        <v>23.379999999999995</v>
      </c>
      <c r="O114" s="53">
        <f aca="true" t="shared" si="41" ref="O114:O125">N114-M114</f>
        <v>-304.12</v>
      </c>
      <c r="P114" s="60">
        <f>N114/M114*100</f>
        <v>7.138931297709922</v>
      </c>
      <c r="Q114" s="60">
        <f>N114-411.7</f>
        <v>-388.32</v>
      </c>
      <c r="R114" s="138">
        <f>N114/411.7</f>
        <v>0.056788923973767294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119.34</v>
      </c>
      <c r="G115" s="49">
        <f t="shared" si="37"/>
        <v>6.840000000000003</v>
      </c>
      <c r="H115" s="40">
        <f t="shared" si="39"/>
        <v>106.08</v>
      </c>
      <c r="I115" s="60">
        <f t="shared" si="38"/>
        <v>-148.76000000000002</v>
      </c>
      <c r="J115" s="60">
        <f t="shared" si="40"/>
        <v>44.51324132786274</v>
      </c>
      <c r="K115" s="60">
        <f>F115-105.4</f>
        <v>13.939999999999998</v>
      </c>
      <c r="L115" s="138">
        <f>F115/105.4</f>
        <v>1.132258064516129</v>
      </c>
      <c r="M115" s="40">
        <f>E115-квітень!E115</f>
        <v>22</v>
      </c>
      <c r="N115" s="40">
        <f>F115-квітень!F115</f>
        <v>22.810000000000002</v>
      </c>
      <c r="O115" s="53">
        <f t="shared" si="41"/>
        <v>0.8100000000000023</v>
      </c>
      <c r="P115" s="60">
        <f>N115/M115*100</f>
        <v>103.68181818181819</v>
      </c>
      <c r="Q115" s="60">
        <f>N115-21.2</f>
        <v>1.610000000000003</v>
      </c>
      <c r="R115" s="138">
        <f>N115/21.2</f>
        <v>1.0759433962264153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516.89</v>
      </c>
      <c r="G116" s="62">
        <f t="shared" si="37"/>
        <v>-965.2099999999999</v>
      </c>
      <c r="H116" s="72">
        <f t="shared" si="39"/>
        <v>34.87551447270765</v>
      </c>
      <c r="I116" s="61">
        <f t="shared" si="38"/>
        <v>-3422.71</v>
      </c>
      <c r="J116" s="61">
        <f t="shared" si="40"/>
        <v>13.120367550005078</v>
      </c>
      <c r="K116" s="61">
        <f>F116-1727</f>
        <v>-1210.1100000000001</v>
      </c>
      <c r="L116" s="139">
        <f>F116/1727</f>
        <v>0.29929936305732485</v>
      </c>
      <c r="M116" s="62">
        <f>M114+M115+M113</f>
        <v>349.5</v>
      </c>
      <c r="N116" s="38">
        <f>SUM(N113:N115)</f>
        <v>46.31999999999999</v>
      </c>
      <c r="O116" s="61">
        <f t="shared" si="41"/>
        <v>-303.18</v>
      </c>
      <c r="P116" s="61">
        <f>N116/M116*100</f>
        <v>13.25321888412017</v>
      </c>
      <c r="Q116" s="61">
        <f>N116-432.8</f>
        <v>-386.48</v>
      </c>
      <c r="R116" s="139">
        <f>N116/432.8</f>
        <v>0.10702402957486135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128.62</v>
      </c>
      <c r="G118" s="49">
        <f t="shared" si="37"/>
        <v>22.120000000000005</v>
      </c>
      <c r="H118" s="40">
        <f t="shared" si="39"/>
        <v>120.7699530516432</v>
      </c>
      <c r="I118" s="60">
        <f t="shared" si="38"/>
        <v>-138.57999999999998</v>
      </c>
      <c r="J118" s="60">
        <f t="shared" si="40"/>
        <v>48.136227544910184</v>
      </c>
      <c r="K118" s="60">
        <f>F118-88.5</f>
        <v>40.120000000000005</v>
      </c>
      <c r="L118" s="138">
        <f>F118/88.5</f>
        <v>1.4533333333333334</v>
      </c>
      <c r="M118" s="40">
        <f>E118-квітень!E118</f>
        <v>0</v>
      </c>
      <c r="N118" s="40">
        <f>F118-квітень!F118</f>
        <v>0.7600000000000051</v>
      </c>
      <c r="O118" s="53">
        <f>N118-M118</f>
        <v>0.7600000000000051</v>
      </c>
      <c r="P118" s="60" t="e">
        <f>N118/M118*100</f>
        <v>#DIV/0!</v>
      </c>
      <c r="Q118" s="60">
        <f>N118-0.1</f>
        <v>0.6600000000000051</v>
      </c>
      <c r="R118" s="138">
        <f>N118/0.1</f>
        <v>7.600000000000051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32064.35</v>
      </c>
      <c r="G119" s="49">
        <f t="shared" si="37"/>
        <v>451.75</v>
      </c>
      <c r="H119" s="40">
        <f t="shared" si="39"/>
        <v>101.42901880895592</v>
      </c>
      <c r="I119" s="53">
        <f t="shared" si="38"/>
        <v>-39911.64000000001</v>
      </c>
      <c r="J119" s="60">
        <f t="shared" si="40"/>
        <v>44.548675190157155</v>
      </c>
      <c r="K119" s="60">
        <f>F119-30022.6</f>
        <v>2041.75</v>
      </c>
      <c r="L119" s="138">
        <f>F119/30022.6</f>
        <v>1.0680071013170078</v>
      </c>
      <c r="M119" s="40">
        <f>E119-квітень!E119</f>
        <v>6500</v>
      </c>
      <c r="N119" s="40">
        <f>F119-квітень!F119</f>
        <v>5502.509999999998</v>
      </c>
      <c r="O119" s="53">
        <f t="shared" si="41"/>
        <v>-997.4900000000016</v>
      </c>
      <c r="P119" s="60">
        <f aca="true" t="shared" si="42" ref="P119:P124">N119/M119*100</f>
        <v>84.65399999999997</v>
      </c>
      <c r="Q119" s="60">
        <f>N119-6377.4</f>
        <v>-874.8900000000012</v>
      </c>
      <c r="R119" s="138">
        <f>N119/6377.4</f>
        <v>0.8628139994355064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1454.63</v>
      </c>
      <c r="G120" s="49">
        <f t="shared" si="37"/>
        <v>-193.3699999999999</v>
      </c>
      <c r="H120" s="40">
        <f t="shared" si="39"/>
        <v>88.26638349514565</v>
      </c>
      <c r="I120" s="60">
        <f t="shared" si="38"/>
        <v>-8545.369999999999</v>
      </c>
      <c r="J120" s="60">
        <f t="shared" si="40"/>
        <v>14.5463</v>
      </c>
      <c r="K120" s="60">
        <f>F120-436.1</f>
        <v>1018.5300000000001</v>
      </c>
      <c r="L120" s="138">
        <f>F120/436.1</f>
        <v>3.3355423068103645</v>
      </c>
      <c r="M120" s="40">
        <f>E120-квітень!E120</f>
        <v>207</v>
      </c>
      <c r="N120" s="40">
        <f>F120-квітень!F120</f>
        <v>19.63000000000011</v>
      </c>
      <c r="O120" s="53">
        <f t="shared" si="41"/>
        <v>-187.3699999999999</v>
      </c>
      <c r="P120" s="60">
        <f t="shared" si="42"/>
        <v>9.483091787439667</v>
      </c>
      <c r="Q120" s="60">
        <f>N120-0</f>
        <v>19.63000000000011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1561.27</v>
      </c>
      <c r="G121" s="49">
        <f t="shared" si="37"/>
        <v>-1494.13</v>
      </c>
      <c r="H121" s="40">
        <f t="shared" si="39"/>
        <v>51.09871047980624</v>
      </c>
      <c r="I121" s="60">
        <f t="shared" si="38"/>
        <v>-21516.73</v>
      </c>
      <c r="J121" s="60">
        <f>F121/D121*100</f>
        <v>6.7651876245775195</v>
      </c>
      <c r="K121" s="60">
        <f>F121-7468.7</f>
        <v>-5907.43</v>
      </c>
      <c r="L121" s="138">
        <f>F121/7468.7</f>
        <v>0.20904173417060534</v>
      </c>
      <c r="M121" s="40">
        <f>E121-квітень!E121</f>
        <v>1575.4</v>
      </c>
      <c r="N121" s="40">
        <f>F121-квітень!F121</f>
        <v>73.77999999999997</v>
      </c>
      <c r="O121" s="53">
        <f t="shared" si="41"/>
        <v>-1501.6200000000001</v>
      </c>
      <c r="P121" s="60">
        <f t="shared" si="42"/>
        <v>4.683255046337436</v>
      </c>
      <c r="Q121" s="60">
        <f>N121-192.7</f>
        <v>-118.92000000000002</v>
      </c>
      <c r="R121" s="138">
        <f>N121/192.7</f>
        <v>0.38287493513232995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577.67</v>
      </c>
      <c r="G122" s="49">
        <f t="shared" si="37"/>
        <v>-95.19000000000005</v>
      </c>
      <c r="H122" s="40">
        <f t="shared" si="39"/>
        <v>85.85292631453794</v>
      </c>
      <c r="I122" s="60">
        <f t="shared" si="38"/>
        <v>-1422.33</v>
      </c>
      <c r="J122" s="60">
        <f>F122/D122*100</f>
        <v>28.883499999999994</v>
      </c>
      <c r="K122" s="60">
        <f>F122-1200</f>
        <v>-622.33</v>
      </c>
      <c r="L122" s="138">
        <f>F122/1200</f>
        <v>0.4813916666666666</v>
      </c>
      <c r="M122" s="40">
        <f>E122-квітень!E122</f>
        <v>189.59000000000003</v>
      </c>
      <c r="N122" s="40">
        <f>F122-квітень!F122</f>
        <v>0.39999999999997726</v>
      </c>
      <c r="O122" s="53">
        <f t="shared" si="41"/>
        <v>-189.19000000000005</v>
      </c>
      <c r="P122" s="60">
        <f t="shared" si="42"/>
        <v>0.21098159185609852</v>
      </c>
      <c r="Q122" s="60">
        <f>N122-29.5</f>
        <v>-29.100000000000023</v>
      </c>
      <c r="R122" s="138">
        <f>N122/29.5</f>
        <v>0.013559322033897534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35786.53999999999</v>
      </c>
      <c r="G123" s="62">
        <f t="shared" si="37"/>
        <v>-1308.820000000007</v>
      </c>
      <c r="H123" s="72">
        <f t="shared" si="39"/>
        <v>96.47174201840876</v>
      </c>
      <c r="I123" s="61">
        <f t="shared" si="38"/>
        <v>-71534.65000000001</v>
      </c>
      <c r="J123" s="61">
        <f>F123/D123*100</f>
        <v>33.34526946635607</v>
      </c>
      <c r="K123" s="61">
        <f>F123-39215.9</f>
        <v>-3429.360000000008</v>
      </c>
      <c r="L123" s="139">
        <f>F123/39215.9</f>
        <v>0.9125517965927084</v>
      </c>
      <c r="M123" s="62">
        <f>M119+M120+M121+M122+M118</f>
        <v>8471.99</v>
      </c>
      <c r="N123" s="62">
        <f>N119+N120+N121+N122+N118</f>
        <v>5597.079999999998</v>
      </c>
      <c r="O123" s="61">
        <f t="shared" si="41"/>
        <v>-2874.9100000000017</v>
      </c>
      <c r="P123" s="61">
        <f t="shared" si="42"/>
        <v>66.06570593213635</v>
      </c>
      <c r="Q123" s="61">
        <f>N123-6599.8</f>
        <v>-1002.7200000000021</v>
      </c>
      <c r="R123" s="139">
        <f>N123/6599.8</f>
        <v>0.8480681232764626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9.9</v>
      </c>
      <c r="G124" s="49">
        <f t="shared" si="37"/>
        <v>-4.26</v>
      </c>
      <c r="H124" s="40">
        <f t="shared" si="39"/>
        <v>69.91525423728814</v>
      </c>
      <c r="I124" s="60">
        <f t="shared" si="38"/>
        <v>-33.6</v>
      </c>
      <c r="J124" s="60">
        <f>F124/D124*100</f>
        <v>22.758620689655174</v>
      </c>
      <c r="K124" s="60">
        <f>F124-99.2</f>
        <v>-89.3</v>
      </c>
      <c r="L124" s="138">
        <f>F124/99.2</f>
        <v>0.09979838709677419</v>
      </c>
      <c r="M124" s="40">
        <f>E124-квітень!E124</f>
        <v>3</v>
      </c>
      <c r="N124" s="40">
        <f>F124-квітень!F124</f>
        <v>0.25</v>
      </c>
      <c r="O124" s="53">
        <f t="shared" si="41"/>
        <v>-2.75</v>
      </c>
      <c r="P124" s="60">
        <f t="shared" si="42"/>
        <v>8.333333333333332</v>
      </c>
      <c r="Q124" s="60">
        <f>N124-1.4</f>
        <v>-1.15</v>
      </c>
      <c r="R124" s="138">
        <f>N124/1.4</f>
        <v>0.17857142857142858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4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2631.8</v>
      </c>
      <c r="G127" s="49">
        <f aca="true" t="shared" si="43" ref="G127:G134">F127-E127</f>
        <v>-2379.7</v>
      </c>
      <c r="H127" s="40">
        <f>F127/E127*100</f>
        <v>52.515215005487384</v>
      </c>
      <c r="I127" s="60">
        <f aca="true" t="shared" si="44" ref="I127:I134">F127-D127</f>
        <v>-6068.2</v>
      </c>
      <c r="J127" s="60">
        <f>F127/D127*100</f>
        <v>30.25057471264368</v>
      </c>
      <c r="K127" s="60">
        <f>F127-6289.1</f>
        <v>-3657.3</v>
      </c>
      <c r="L127" s="138">
        <f>F127/6289.1</f>
        <v>0.41847005135869997</v>
      </c>
      <c r="M127" s="40">
        <f>E127-квітень!E127</f>
        <v>2502</v>
      </c>
      <c r="N127" s="40">
        <f>F127-квітень!F127</f>
        <v>13.370000000000346</v>
      </c>
      <c r="O127" s="53">
        <f aca="true" t="shared" si="45" ref="O127:O134">N127-M127</f>
        <v>-2488.6299999999997</v>
      </c>
      <c r="P127" s="60">
        <f>N127/M127*100</f>
        <v>0.5343725019984151</v>
      </c>
      <c r="Q127" s="60">
        <f>N127-3456.6</f>
        <v>-3443.2299999999996</v>
      </c>
      <c r="R127" s="164">
        <f>N127/3456.5</f>
        <v>0.0038680746419789804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-0.17</v>
      </c>
      <c r="G128" s="49">
        <f t="shared" si="43"/>
        <v>-0.17</v>
      </c>
      <c r="H128" s="40"/>
      <c r="I128" s="60">
        <f t="shared" si="44"/>
        <v>-0.17</v>
      </c>
      <c r="J128" s="60"/>
      <c r="K128" s="60">
        <f>F128-(-0.5)</f>
        <v>0.32999999999999996</v>
      </c>
      <c r="L128" s="138">
        <f>F128/(-0.5)</f>
        <v>0.34</v>
      </c>
      <c r="M128" s="40">
        <f>E128-квітень!E128</f>
        <v>0</v>
      </c>
      <c r="N128" s="40">
        <f>F128-квітень!F128</f>
        <v>0.1</v>
      </c>
      <c r="O128" s="53">
        <f t="shared" si="45"/>
        <v>0.1</v>
      </c>
      <c r="P128" s="60"/>
      <c r="Q128" s="60">
        <f>N128-0.1</f>
        <v>0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2659.2900000000004</v>
      </c>
      <c r="G129" s="62">
        <f t="shared" si="43"/>
        <v>-2373.5699999999993</v>
      </c>
      <c r="H129" s="72">
        <f>F129/E129*100</f>
        <v>52.838545081722934</v>
      </c>
      <c r="I129" s="61">
        <f t="shared" si="44"/>
        <v>-6091.41</v>
      </c>
      <c r="J129" s="61">
        <f>F129/D129*100</f>
        <v>30.38945455792108</v>
      </c>
      <c r="K129" s="61">
        <f>F129-2938.1</f>
        <v>-278.8099999999995</v>
      </c>
      <c r="L129" s="139">
        <f>G129/2938.1</f>
        <v>-0.8078588203260608</v>
      </c>
      <c r="M129" s="62">
        <f>M124+M127+M128+M126</f>
        <v>2505</v>
      </c>
      <c r="N129" s="62">
        <f>N124+N127+N128+N126</f>
        <v>13.720000000000345</v>
      </c>
      <c r="O129" s="61">
        <f t="shared" si="45"/>
        <v>-2491.2799999999997</v>
      </c>
      <c r="P129" s="61">
        <f>N129/M129*100</f>
        <v>0.547704590818377</v>
      </c>
      <c r="Q129" s="61">
        <f>N129-3458.2</f>
        <v>-3444.4799999999996</v>
      </c>
      <c r="R129" s="137">
        <f>N129/3458.2</f>
        <v>0.0039673818749639544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38974.909999999996</v>
      </c>
      <c r="G133" s="50">
        <f t="shared" si="43"/>
        <v>-4644.060000000005</v>
      </c>
      <c r="H133" s="51">
        <f>F133/E133*100</f>
        <v>89.35311860871542</v>
      </c>
      <c r="I133" s="36">
        <f t="shared" si="44"/>
        <v>-81066.58000000002</v>
      </c>
      <c r="J133" s="36">
        <f>F133/D133*100</f>
        <v>32.467865902031036</v>
      </c>
      <c r="K133" s="36">
        <f>F133-47348.4</f>
        <v>-8373.490000000005</v>
      </c>
      <c r="L133" s="136">
        <f>F133/47348.4</f>
        <v>0.823151574287621</v>
      </c>
      <c r="M133" s="31">
        <f>M116+M130+M123+M129+M132+M131</f>
        <v>11326.89</v>
      </c>
      <c r="N133" s="31">
        <f>N116+N130+N123+N129+N132+N131</f>
        <v>5657.119999999998</v>
      </c>
      <c r="O133" s="36">
        <f t="shared" si="45"/>
        <v>-5669.770000000001</v>
      </c>
      <c r="P133" s="36">
        <f>N133/M133*100</f>
        <v>49.94415942946385</v>
      </c>
      <c r="Q133" s="36">
        <f>N133-10488.3</f>
        <v>-4831.180000000001</v>
      </c>
      <c r="R133" s="136">
        <f>N133/10488.3</f>
        <v>0.5393743504667103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203892.95000000004</v>
      </c>
      <c r="G134" s="50">
        <f t="shared" si="43"/>
        <v>-37337.27999999997</v>
      </c>
      <c r="H134" s="51">
        <f>F134/E134*100</f>
        <v>84.52213887123519</v>
      </c>
      <c r="I134" s="36">
        <f t="shared" si="44"/>
        <v>-423028.1399999999</v>
      </c>
      <c r="J134" s="36">
        <f>F134/D134*100</f>
        <v>32.52290491615142</v>
      </c>
      <c r="K134" s="36">
        <f>F134-242037.6</f>
        <v>-38144.649999999965</v>
      </c>
      <c r="L134" s="136">
        <f>F134/242037.6</f>
        <v>0.8424019656450074</v>
      </c>
      <c r="M134" s="22">
        <f>M106+M133</f>
        <v>50260.359999999986</v>
      </c>
      <c r="N134" s="22">
        <f>N106+N133</f>
        <v>20618.030000000006</v>
      </c>
      <c r="O134" s="36">
        <f t="shared" si="45"/>
        <v>-29642.32999999998</v>
      </c>
      <c r="P134" s="36">
        <f>N134/M134*100</f>
        <v>41.02244790924699</v>
      </c>
      <c r="Q134" s="36">
        <f>N134-48675.4</f>
        <v>-28057.369999999995</v>
      </c>
      <c r="R134" s="136">
        <f>N134/48675.4</f>
        <v>0.4235821379998933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11</v>
      </c>
      <c r="D136" s="4" t="s">
        <v>118</v>
      </c>
    </row>
    <row r="137" spans="2:17" ht="31.5">
      <c r="B137" s="78" t="s">
        <v>154</v>
      </c>
      <c r="C137" s="39">
        <f>IF(O106&lt;0,ABS(O106/C136),0)</f>
        <v>2179.3236363636343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41774</v>
      </c>
      <c r="D138" s="39">
        <v>3254.5</v>
      </c>
      <c r="N138" s="175"/>
      <c r="O138" s="175"/>
    </row>
    <row r="139" spans="3:15" ht="15.75">
      <c r="C139" s="120">
        <v>41773</v>
      </c>
      <c r="D139" s="39">
        <v>1200.2</v>
      </c>
      <c r="F139" s="4" t="s">
        <v>166</v>
      </c>
      <c r="G139" s="171" t="s">
        <v>151</v>
      </c>
      <c r="H139" s="171"/>
      <c r="I139" s="115">
        <f>'[1]залишки  (2)'!$G$9/1000</f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41772</v>
      </c>
      <c r="D140" s="39">
        <v>967.5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f>'[1]залишки  (2)'!$G$6/1000</f>
        <v>122247.31612999999</v>
      </c>
      <c r="E142" s="80"/>
      <c r="F142" s="100" t="s">
        <v>147</v>
      </c>
      <c r="G142" s="171" t="s">
        <v>149</v>
      </c>
      <c r="H142" s="171"/>
      <c r="I142" s="116">
        <f>'[1]залишки  (2)'!$G$10/1000</f>
        <v>108422.09416999998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16316.288349999997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9" t="s">
        <v>226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221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217</v>
      </c>
      <c r="H4" s="185" t="s">
        <v>218</v>
      </c>
      <c r="I4" s="181" t="s">
        <v>188</v>
      </c>
      <c r="J4" s="187" t="s">
        <v>189</v>
      </c>
      <c r="K4" s="176" t="s">
        <v>219</v>
      </c>
      <c r="L4" s="177"/>
      <c r="M4" s="200"/>
      <c r="N4" s="163" t="s">
        <v>227</v>
      </c>
      <c r="O4" s="181" t="s">
        <v>136</v>
      </c>
      <c r="P4" s="181" t="s">
        <v>135</v>
      </c>
      <c r="Q4" s="176" t="s">
        <v>222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216</v>
      </c>
      <c r="F5" s="203"/>
      <c r="G5" s="184"/>
      <c r="H5" s="186"/>
      <c r="I5" s="182"/>
      <c r="J5" s="188"/>
      <c r="K5" s="178"/>
      <c r="L5" s="179"/>
      <c r="M5" s="151" t="s">
        <v>220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5"/>
      <c r="O138" s="175"/>
    </row>
    <row r="139" spans="3:15" ht="15.75">
      <c r="C139" s="120">
        <v>41758</v>
      </c>
      <c r="D139" s="39">
        <v>5440.9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41757</v>
      </c>
      <c r="D140" s="39">
        <v>1923.2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123251.48</v>
      </c>
      <c r="E142" s="80"/>
      <c r="F142" s="100" t="s">
        <v>147</v>
      </c>
      <c r="G142" s="171" t="s">
        <v>149</v>
      </c>
      <c r="H142" s="171"/>
      <c r="I142" s="116">
        <v>109426.25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16316.288349999997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208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210</v>
      </c>
      <c r="N3" s="201" t="s">
        <v>198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207</v>
      </c>
      <c r="H4" s="185" t="s">
        <v>195</v>
      </c>
      <c r="I4" s="181" t="s">
        <v>188</v>
      </c>
      <c r="J4" s="187" t="s">
        <v>189</v>
      </c>
      <c r="K4" s="176" t="s">
        <v>196</v>
      </c>
      <c r="L4" s="177"/>
      <c r="M4" s="200"/>
      <c r="N4" s="163" t="s">
        <v>213</v>
      </c>
      <c r="O4" s="181" t="s">
        <v>136</v>
      </c>
      <c r="P4" s="181" t="s">
        <v>135</v>
      </c>
      <c r="Q4" s="176" t="s">
        <v>197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214</v>
      </c>
      <c r="F5" s="203"/>
      <c r="G5" s="184"/>
      <c r="H5" s="186"/>
      <c r="I5" s="182"/>
      <c r="J5" s="188"/>
      <c r="K5" s="178"/>
      <c r="L5" s="179"/>
      <c r="M5" s="151" t="s">
        <v>211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5"/>
      <c r="O138" s="175"/>
    </row>
    <row r="139" spans="3:15" ht="15.75">
      <c r="C139" s="120">
        <v>41726</v>
      </c>
      <c r="D139" s="39">
        <v>4682.6</v>
      </c>
      <c r="F139" s="4" t="s">
        <v>166</v>
      </c>
      <c r="G139" s="171" t="s">
        <v>151</v>
      </c>
      <c r="H139" s="171"/>
      <c r="I139" s="115"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41725</v>
      </c>
      <c r="D140" s="39">
        <v>3360.7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114985.02570999999</v>
      </c>
      <c r="E142" s="80"/>
      <c r="F142" s="100" t="s">
        <v>147</v>
      </c>
      <c r="G142" s="171" t="s">
        <v>149</v>
      </c>
      <c r="H142" s="171"/>
      <c r="I142" s="116">
        <v>101159.80375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3918.1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9" t="s">
        <v>193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187</v>
      </c>
      <c r="E3" s="46"/>
      <c r="F3" s="214" t="s">
        <v>107</v>
      </c>
      <c r="G3" s="215"/>
      <c r="H3" s="215"/>
      <c r="I3" s="215"/>
      <c r="J3" s="216"/>
      <c r="K3" s="123"/>
      <c r="L3" s="123"/>
      <c r="M3" s="217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191</v>
      </c>
      <c r="F4" s="209" t="s">
        <v>116</v>
      </c>
      <c r="G4" s="211" t="s">
        <v>167</v>
      </c>
      <c r="H4" s="185" t="s">
        <v>168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17"/>
      <c r="N4" s="163" t="s">
        <v>194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184</v>
      </c>
      <c r="L5" s="179"/>
      <c r="M5" s="217"/>
      <c r="N5" s="180"/>
      <c r="O5" s="207"/>
      <c r="P5" s="208"/>
      <c r="Q5" s="178" t="s">
        <v>199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5"/>
      <c r="O138" s="175"/>
    </row>
    <row r="139" spans="3:15" ht="15.75">
      <c r="C139" s="120">
        <v>41697</v>
      </c>
      <c r="D139" s="39">
        <v>2276.8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41696</v>
      </c>
      <c r="D140" s="39">
        <v>3746.1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121970.53</v>
      </c>
      <c r="E142" s="80"/>
      <c r="F142" s="100" t="s">
        <v>147</v>
      </c>
      <c r="G142" s="171" t="s">
        <v>149</v>
      </c>
      <c r="H142" s="171"/>
      <c r="I142" s="116">
        <v>108145.31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9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192</v>
      </c>
      <c r="E3" s="46"/>
      <c r="F3" s="214" t="s">
        <v>107</v>
      </c>
      <c r="G3" s="215"/>
      <c r="H3" s="215"/>
      <c r="I3" s="215"/>
      <c r="J3" s="216"/>
      <c r="K3" s="123"/>
      <c r="L3" s="123"/>
      <c r="M3" s="187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153</v>
      </c>
      <c r="F4" s="209" t="s">
        <v>116</v>
      </c>
      <c r="G4" s="211" t="s">
        <v>175</v>
      </c>
      <c r="H4" s="185" t="s">
        <v>176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20"/>
      <c r="N4" s="163" t="s">
        <v>186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177</v>
      </c>
      <c r="L5" s="179"/>
      <c r="M5" s="188"/>
      <c r="N5" s="180"/>
      <c r="O5" s="207"/>
      <c r="P5" s="208"/>
      <c r="Q5" s="178" t="s">
        <v>179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2"/>
      <c r="H137" s="162"/>
      <c r="I137" s="162"/>
      <c r="J137" s="16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5"/>
      <c r="O138" s="175"/>
    </row>
    <row r="139" spans="3:15" ht="15.75">
      <c r="C139" s="120">
        <v>41669</v>
      </c>
      <c r="D139" s="39">
        <v>4752.2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41668</v>
      </c>
      <c r="D140" s="39">
        <v>1984.7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111410.62</v>
      </c>
      <c r="E142" s="80"/>
      <c r="F142" s="100" t="s">
        <v>147</v>
      </c>
      <c r="G142" s="171" t="s">
        <v>149</v>
      </c>
      <c r="H142" s="171"/>
      <c r="I142" s="116">
        <v>97585.4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2014-05-16T07:03:40Z</cp:lastPrinted>
  <dcterms:created xsi:type="dcterms:W3CDTF">2003-07-28T11:27:56Z</dcterms:created>
  <dcterms:modified xsi:type="dcterms:W3CDTF">2014-05-16T07:04:11Z</dcterms:modified>
  <cp:category/>
  <cp:version/>
  <cp:contentType/>
  <cp:contentStatus/>
</cp:coreProperties>
</file>